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FORMS\Public Works\Water Meter Sizing\"/>
    </mc:Choice>
  </mc:AlternateContent>
  <xr:revisionPtr revIDLastSave="0" documentId="13_ncr:1_{14DA23E7-D73B-4F84-A846-006CF31D2DCE}" xr6:coauthVersionLast="47" xr6:coauthVersionMax="47" xr10:uidLastSave="{00000000-0000-0000-0000-000000000000}"/>
  <bookViews>
    <workbookView xWindow="28680" yWindow="-120" windowWidth="29040" windowHeight="15720" tabRatio="601" xr2:uid="{00000000-000D-0000-FFFF-FFFF00000000}"/>
  </bookViews>
  <sheets>
    <sheet name="WaterMeterForm" sheetId="1" r:id="rId1"/>
  </sheets>
  <definedNames>
    <definedName name="_xlnm.Print_Area" localSheetId="0">WaterMeterForm!$A$1:$F$67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7" i="1" l="1"/>
  <c r="C42" i="1" l="1"/>
  <c r="D21" i="1"/>
  <c r="D30" i="1" l="1"/>
  <c r="D29" i="1"/>
  <c r="D28" i="1"/>
  <c r="D27" i="1"/>
  <c r="D25" i="1"/>
  <c r="D24" i="1"/>
  <c r="D23" i="1"/>
  <c r="D22" i="1"/>
  <c r="B38" i="1" l="1"/>
  <c r="E14" i="1" l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B39" i="1" l="1"/>
  <c r="C39" i="1"/>
  <c r="E13" i="1" l="1"/>
  <c r="C49" i="1" l="1"/>
  <c r="D53" i="1" s="1"/>
  <c r="E39" i="1"/>
  <c r="D49" i="1"/>
  <c r="D51" i="1" s="1"/>
  <c r="A58" i="1" l="1"/>
  <c r="C40" i="1" l="1"/>
  <c r="C38" i="1" l="1"/>
  <c r="E38" i="1" l="1"/>
  <c r="C41" i="1" l="1"/>
  <c r="D47" i="1" s="1"/>
  <c r="C44" i="1"/>
  <c r="D44" i="1" l="1"/>
  <c r="D46" i="1" s="1"/>
  <c r="D55" i="1"/>
</calcChain>
</file>

<file path=xl/sharedStrings.xml><?xml version="1.0" encoding="utf-8"?>
<sst xmlns="http://schemas.openxmlformats.org/spreadsheetml/2006/main" count="98" uniqueCount="90">
  <si>
    <t xml:space="preserve">City of Chelan </t>
  </si>
  <si>
    <t xml:space="preserve">Community Development </t>
  </si>
  <si>
    <t>Water Unit (WU) Fixtures</t>
  </si>
  <si>
    <t>Water Sizing Fixture Units (WSFU)</t>
  </si>
  <si>
    <t>Fixture Type</t>
  </si>
  <si>
    <t>WU to WSFU Conversion Factor (From UPC Table 610.3 )</t>
  </si>
  <si>
    <t>Urinal, 1.0 GPF</t>
  </si>
  <si>
    <t>Urinal, greater than 1.0 GPF</t>
  </si>
  <si>
    <t>Urinal, Flush tank</t>
  </si>
  <si>
    <t>Bar Sink</t>
  </si>
  <si>
    <t>Mop Sink</t>
  </si>
  <si>
    <t>3 Compartment Sink</t>
  </si>
  <si>
    <t xml:space="preserve">Laundry Sink, Hand Sink, Kitchen Sink, &amp; Prep Sink </t>
  </si>
  <si>
    <t>Dishwasher</t>
  </si>
  <si>
    <t xml:space="preserve">Clothes Washer </t>
  </si>
  <si>
    <t>Hose Bib</t>
  </si>
  <si>
    <t xml:space="preserve">Hose  Bib additional </t>
  </si>
  <si>
    <t>Does this water service include fire flow or continuous flow?</t>
  </si>
  <si>
    <t>Required Minimum Service Line Size:</t>
  </si>
  <si>
    <t xml:space="preserve">Project Name:                                                             </t>
  </si>
  <si>
    <t xml:space="preserve">Permit Number :                                                                  </t>
  </si>
  <si>
    <t>Reservoir Impact Fee, if applicable</t>
  </si>
  <si>
    <t xml:space="preserve">5/8" Meter </t>
  </si>
  <si>
    <t>Sewer Connection Fee</t>
  </si>
  <si>
    <t>Services within the area defined in the Lord Acres Sewer Benefit Area Map</t>
  </si>
  <si>
    <t>Services within the area defined in the area formerly knows as the Chelan River Isenhart Domestic Water System</t>
  </si>
  <si>
    <t>Water Meter size based on Water Supply Fixture Unit count from Water Meter Sizing chart above</t>
  </si>
  <si>
    <t>NO. OF FIXTURE UNITS</t>
  </si>
  <si>
    <t xml:space="preserve">2" Meter </t>
  </si>
  <si>
    <t xml:space="preserve">1.5" Meter </t>
  </si>
  <si>
    <t xml:space="preserve">1" Meter </t>
  </si>
  <si>
    <t xml:space="preserve">3/4" Meter </t>
  </si>
  <si>
    <t>Fire Sprinklers (YES or NO)</t>
  </si>
  <si>
    <t>Total Fixture Units</t>
  </si>
  <si>
    <t>Total Fixture Units &amp; Water Sizing</t>
  </si>
  <si>
    <t>WATER SUPPLY LINE REQUIRED</t>
  </si>
  <si>
    <t>3/4" Min. Service Line</t>
  </si>
  <si>
    <t>1" Min. Service Line</t>
  </si>
  <si>
    <t>1 1/4" Min. Service Line</t>
  </si>
  <si>
    <t>IF YES, CONTACT CITY STAFF</t>
  </si>
  <si>
    <t>Existing Fixtures</t>
  </si>
  <si>
    <t>New Fixtures</t>
  </si>
  <si>
    <t>Owing after March 1, 2019</t>
  </si>
  <si>
    <t>Column1</t>
  </si>
  <si>
    <t>Column3</t>
  </si>
  <si>
    <t>Column4</t>
  </si>
  <si>
    <t>Column5</t>
  </si>
  <si>
    <t>Column6</t>
  </si>
  <si>
    <t>Bathtub (3/4" fill Valve) (Jet tub)</t>
  </si>
  <si>
    <t>Water Connection Fee</t>
  </si>
  <si>
    <t>METER INSTALLATION CHART</t>
  </si>
  <si>
    <t>METER SIZING CHART</t>
  </si>
  <si>
    <t>Lavatory Sink</t>
  </si>
  <si>
    <t>Toilet, 1.6 GPF- Gravity Tank</t>
  </si>
  <si>
    <t>Toilet, 1.6 GPF- Flushometer Tank</t>
  </si>
  <si>
    <t>Toilet, 1.6 GPF- Flushometer Valve</t>
  </si>
  <si>
    <t>Toilet, greater than 1.6 GPF- Gravity Tank</t>
  </si>
  <si>
    <t xml:space="preserve">Toilet, greater than 1.6 GPF- Flushometer Valve </t>
  </si>
  <si>
    <t>Drinking Fountain (refrigerator with water)</t>
  </si>
  <si>
    <t>Sewer ERU's</t>
  </si>
  <si>
    <t>Water ERU's</t>
  </si>
  <si>
    <t>Lord Acres Facility Charge,  YES or NO</t>
  </si>
  <si>
    <t>Column2</t>
  </si>
  <si>
    <t>FULL INSTALLATION - CITY STREETS</t>
  </si>
  <si>
    <t>FULL INSTALLATION - STATE HWY</t>
  </si>
  <si>
    <t>Water Meter Installation Fee (Choose One)</t>
  </si>
  <si>
    <t>Total Fixture Units for Sewer</t>
  </si>
  <si>
    <t>METER DROP FEE (existing meter box, no change in size)</t>
  </si>
  <si>
    <t>YES</t>
  </si>
  <si>
    <t>NO</t>
  </si>
  <si>
    <t xml:space="preserve"> </t>
  </si>
  <si>
    <t>Existing Water connection fee paid</t>
  </si>
  <si>
    <t>Remaining Water Connection owed for remodel</t>
  </si>
  <si>
    <t>Owing after March 1, 2020</t>
  </si>
  <si>
    <t>Existing Sewer connection fee paid</t>
  </si>
  <si>
    <t>Water/Sewer Connection Fees</t>
  </si>
  <si>
    <t>Prepared By:</t>
  </si>
  <si>
    <t>Public Works Approval:</t>
  </si>
  <si>
    <t>Remaining Sewer Connection owed for remodel</t>
  </si>
  <si>
    <t xml:space="preserve">Redevelopment Water Meter Sizing Chart </t>
  </si>
  <si>
    <t xml:space="preserve">Required Minimum Water Meter Size: </t>
  </si>
  <si>
    <t>Existing Sewre ERU's Paid</t>
  </si>
  <si>
    <t>Existing Water ERU's Paid</t>
  </si>
  <si>
    <t xml:space="preserve">Address: </t>
  </si>
  <si>
    <t>3" Meter</t>
  </si>
  <si>
    <t>To be installed by Developer</t>
  </si>
  <si>
    <t>Completed Water upsize/downsize form if meter size is changing.</t>
  </si>
  <si>
    <t>Shower, per head</t>
  </si>
  <si>
    <t xml:space="preserve">Bathtub  or Shower/Tub Combination  </t>
  </si>
  <si>
    <t>If built prior to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</si>
</sst>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&quot;$&quot;#,##0.00"/>
    <numFmt numFmtId="165" formatCode="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auto="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theme="4" tint="0.3999755851924192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theme="4" tint="0.39997558519241921"/>
      </bottom>
      <diagonal/>
    </border>
    <border>
      <left style="thick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medium">
        <color indexed="64"/>
      </right>
      <top style="double">
        <color rgb="FF7F7F7F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auto="1"/>
      </left>
      <right style="thin">
        <color rgb="FF7F7F7F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7F7F7F"/>
      </right>
      <top style="medium">
        <color auto="1"/>
      </top>
      <bottom style="double">
        <color rgb="FF7F7F7F"/>
      </bottom>
      <diagonal/>
    </border>
    <border>
      <left style="thin">
        <color rgb="FF7F7F7F"/>
      </left>
      <right/>
      <top style="medium">
        <color auto="1"/>
      </top>
      <bottom style="double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 style="double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13" applyNumberFormat="0" applyFont="0" applyAlignment="0" applyProtection="0"/>
    <xf numFmtId="0" fontId="1" fillId="6" borderId="0" applyNumberFormat="0" applyBorder="0" applyAlignment="0" applyProtection="0"/>
    <xf numFmtId="0" fontId="10" fillId="8" borderId="0" applyNumberFormat="0" applyBorder="0" applyAlignment="0" applyProtection="0"/>
  </cellStyleXfs>
  <cellXfs count="15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left" wrapText="1"/>
    </xf>
    <xf numFmtId="164" fontId="7" fillId="0" borderId="0" xfId="0" applyNumberFormat="1" applyFont="1"/>
    <xf numFmtId="0" fontId="0" fillId="0" borderId="18" xfId="0" applyBorder="1"/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2" fillId="0" borderId="0" xfId="0" applyFont="1"/>
    <xf numFmtId="6" fontId="0" fillId="0" borderId="0" xfId="0" applyNumberFormat="1"/>
    <xf numFmtId="0" fontId="0" fillId="0" borderId="19" xfId="0" applyBorder="1" applyAlignment="1">
      <alignment horizontal="center"/>
    </xf>
    <xf numFmtId="0" fontId="0" fillId="7" borderId="19" xfId="0" applyFill="1" applyBorder="1" applyAlignment="1">
      <alignment horizontal="center"/>
    </xf>
    <xf numFmtId="0" fontId="0" fillId="0" borderId="5" xfId="0" applyBorder="1"/>
    <xf numFmtId="0" fontId="1" fillId="6" borderId="0" xfId="4" applyBorder="1" applyAlignment="1"/>
    <xf numFmtId="0" fontId="1" fillId="6" borderId="6" xfId="4" applyBorder="1" applyAlignment="1"/>
    <xf numFmtId="0" fontId="2" fillId="0" borderId="12" xfId="0" applyFont="1" applyBorder="1" applyAlignment="1">
      <alignment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9" xfId="1" applyFont="1" applyFill="1" applyBorder="1" applyAlignment="1">
      <alignment wrapText="1"/>
    </xf>
    <xf numFmtId="0" fontId="2" fillId="0" borderId="11" xfId="0" applyFont="1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9" borderId="9" xfId="1" applyFont="1" applyFill="1" applyBorder="1" applyAlignment="1">
      <alignment wrapText="1"/>
    </xf>
    <xf numFmtId="0" fontId="0" fillId="5" borderId="1" xfId="3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3" fillId="0" borderId="20" xfId="0" applyFont="1" applyBorder="1" applyAlignment="1">
      <alignment horizontal="left" wrapText="1"/>
    </xf>
    <xf numFmtId="0" fontId="1" fillId="6" borderId="5" xfId="4" applyBorder="1" applyAlignment="1"/>
    <xf numFmtId="0" fontId="0" fillId="7" borderId="26" xfId="0" applyFill="1" applyBorder="1" applyAlignment="1">
      <alignment horizontal="center"/>
    </xf>
    <xf numFmtId="6" fontId="0" fillId="7" borderId="27" xfId="0" applyNumberFormat="1" applyFill="1" applyBorder="1"/>
    <xf numFmtId="6" fontId="0" fillId="7" borderId="28" xfId="0" applyNumberFormat="1" applyFill="1" applyBorder="1"/>
    <xf numFmtId="6" fontId="0" fillId="0" borderId="16" xfId="0" applyNumberFormat="1" applyBorder="1"/>
    <xf numFmtId="6" fontId="0" fillId="0" borderId="17" xfId="0" applyNumberFormat="1" applyBorder="1"/>
    <xf numFmtId="6" fontId="0" fillId="7" borderId="16" xfId="0" applyNumberFormat="1" applyFill="1" applyBorder="1"/>
    <xf numFmtId="6" fontId="0" fillId="7" borderId="17" xfId="0" applyNumberFormat="1" applyFill="1" applyBorder="1"/>
    <xf numFmtId="0" fontId="13" fillId="8" borderId="24" xfId="5" applyFont="1" applyBorder="1" applyAlignment="1">
      <alignment vertical="center" wrapText="1"/>
    </xf>
    <xf numFmtId="0" fontId="13" fillId="8" borderId="25" xfId="5" applyFont="1" applyBorder="1" applyAlignment="1">
      <alignment vertical="center" wrapText="1"/>
    </xf>
    <xf numFmtId="0" fontId="10" fillId="8" borderId="30" xfId="5" applyBorder="1" applyAlignment="1">
      <alignment horizontal="center" vertical="center" wrapText="1"/>
    </xf>
    <xf numFmtId="0" fontId="0" fillId="7" borderId="31" xfId="0" applyFill="1" applyBorder="1" applyAlignment="1">
      <alignment horizontal="center"/>
    </xf>
    <xf numFmtId="0" fontId="0" fillId="7" borderId="32" xfId="0" applyFill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7" borderId="33" xfId="0" applyFill="1" applyBorder="1" applyAlignment="1">
      <alignment horizontal="center"/>
    </xf>
    <xf numFmtId="0" fontId="13" fillId="8" borderId="34" xfId="5" applyFont="1" applyBorder="1" applyAlignment="1">
      <alignment vertical="center" wrapText="1"/>
    </xf>
    <xf numFmtId="6" fontId="0" fillId="7" borderId="35" xfId="0" applyNumberFormat="1" applyFill="1" applyBorder="1"/>
    <xf numFmtId="6" fontId="0" fillId="0" borderId="36" xfId="0" applyNumberFormat="1" applyBorder="1"/>
    <xf numFmtId="6" fontId="0" fillId="7" borderId="36" xfId="0" applyNumberFormat="1" applyFill="1" applyBorder="1"/>
    <xf numFmtId="0" fontId="0" fillId="5" borderId="13" xfId="3" applyFont="1" applyAlignment="1">
      <alignment wrapText="1"/>
    </xf>
    <xf numFmtId="0" fontId="0" fillId="0" borderId="0" xfId="0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wrapText="1"/>
    </xf>
    <xf numFmtId="164" fontId="2" fillId="0" borderId="0" xfId="0" applyNumberFormat="1" applyFont="1"/>
    <xf numFmtId="0" fontId="10" fillId="8" borderId="23" xfId="5" applyBorder="1" applyAlignment="1">
      <alignment horizontal="left" vertical="center" wrapText="1"/>
    </xf>
    <xf numFmtId="0" fontId="0" fillId="0" borderId="38" xfId="0" applyBorder="1" applyAlignment="1">
      <alignment horizontal="right"/>
    </xf>
    <xf numFmtId="0" fontId="0" fillId="0" borderId="39" xfId="0" applyBorder="1" applyAlignment="1">
      <alignment horizontal="right"/>
    </xf>
    <xf numFmtId="0" fontId="10" fillId="8" borderId="37" xfId="5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16" fontId="2" fillId="0" borderId="2" xfId="0" applyNumberFormat="1" applyFont="1" applyBorder="1" applyAlignment="1">
      <alignment horizontal="left" vertical="center" wrapText="1"/>
    </xf>
    <xf numFmtId="164" fontId="7" fillId="0" borderId="5" xfId="0" applyNumberFormat="1" applyFont="1" applyBorder="1"/>
    <xf numFmtId="164" fontId="7" fillId="0" borderId="5" xfId="0" applyNumberFormat="1" applyFont="1" applyBorder="1" applyAlignment="1">
      <alignment wrapText="1"/>
    </xf>
    <xf numFmtId="0" fontId="7" fillId="0" borderId="5" xfId="0" applyFont="1" applyBorder="1"/>
    <xf numFmtId="0" fontId="6" fillId="0" borderId="22" xfId="0" applyFont="1" applyBorder="1" applyAlignment="1">
      <alignment wrapText="1"/>
    </xf>
    <xf numFmtId="0" fontId="2" fillId="5" borderId="22" xfId="3" applyFont="1" applyBorder="1" applyAlignment="1">
      <alignment wrapText="1"/>
    </xf>
    <xf numFmtId="0" fontId="3" fillId="5" borderId="22" xfId="3" applyFont="1" applyBorder="1" applyAlignment="1">
      <alignment wrapText="1"/>
    </xf>
    <xf numFmtId="0" fontId="9" fillId="0" borderId="0" xfId="0" applyFont="1" applyAlignment="1">
      <alignment horizontal="left" vertical="top" wrapText="1" indent="1"/>
    </xf>
    <xf numFmtId="0" fontId="0" fillId="0" borderId="0" xfId="0" applyAlignment="1">
      <alignment horizontal="left" wrapText="1"/>
    </xf>
    <xf numFmtId="0" fontId="7" fillId="0" borderId="41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right"/>
    </xf>
    <xf numFmtId="0" fontId="9" fillId="0" borderId="41" xfId="0" applyFont="1" applyBorder="1" applyAlignment="1">
      <alignment wrapText="1"/>
    </xf>
    <xf numFmtId="0" fontId="9" fillId="0" borderId="41" xfId="0" applyFont="1" applyBorder="1" applyAlignment="1">
      <alignment horizontal="left" wrapText="1" indent="1"/>
    </xf>
    <xf numFmtId="0" fontId="3" fillId="0" borderId="41" xfId="0" applyFont="1" applyBorder="1" applyAlignment="1">
      <alignment horizontal="left" wrapText="1"/>
    </xf>
    <xf numFmtId="0" fontId="9" fillId="0" borderId="42" xfId="0" applyFont="1" applyBorder="1" applyAlignment="1">
      <alignment horizontal="right"/>
    </xf>
    <xf numFmtId="0" fontId="4" fillId="4" borderId="43" xfId="2" applyBorder="1" applyAlignment="1">
      <alignment horizontal="center"/>
    </xf>
    <xf numFmtId="0" fontId="4" fillId="4" borderId="43" xfId="2" applyBorder="1" applyAlignment="1">
      <alignment horizontal="left" vertical="center" wrapText="1"/>
    </xf>
    <xf numFmtId="165" fontId="4" fillId="4" borderId="43" xfId="2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0" fontId="3" fillId="0" borderId="4" xfId="0" applyFont="1" applyBorder="1" applyAlignment="1">
      <alignment wrapText="1"/>
    </xf>
    <xf numFmtId="0" fontId="12" fillId="0" borderId="0" xfId="0" applyFont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/>
    <xf numFmtId="0" fontId="12" fillId="4" borderId="0" xfId="2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2" fillId="0" borderId="45" xfId="0" applyFont="1" applyBorder="1" applyAlignment="1">
      <alignment wrapText="1"/>
    </xf>
    <xf numFmtId="0" fontId="2" fillId="0" borderId="46" xfId="0" applyFont="1" applyBorder="1" applyAlignment="1">
      <alignment wrapText="1"/>
    </xf>
    <xf numFmtId="0" fontId="4" fillId="4" borderId="47" xfId="2" applyBorder="1" applyAlignment="1">
      <alignment horizontal="center"/>
    </xf>
    <xf numFmtId="0" fontId="4" fillId="0" borderId="48" xfId="2" applyFill="1" applyBorder="1" applyAlignment="1">
      <alignment horizontal="center"/>
    </xf>
    <xf numFmtId="0" fontId="4" fillId="0" borderId="49" xfId="2" applyFill="1" applyBorder="1" applyAlignment="1">
      <alignment horizontal="center"/>
    </xf>
    <xf numFmtId="0" fontId="4" fillId="0" borderId="48" xfId="2" applyFill="1" applyBorder="1"/>
    <xf numFmtId="0" fontId="4" fillId="0" borderId="50" xfId="2" applyFill="1" applyBorder="1"/>
    <xf numFmtId="0" fontId="9" fillId="0" borderId="0" xfId="0" applyFont="1" applyAlignment="1">
      <alignment horizontal="right"/>
    </xf>
    <xf numFmtId="164" fontId="7" fillId="10" borderId="5" xfId="0" applyNumberFormat="1" applyFont="1" applyFill="1" applyBorder="1"/>
    <xf numFmtId="164" fontId="6" fillId="10" borderId="40" xfId="0" applyNumberFormat="1" applyFont="1" applyFill="1" applyBorder="1"/>
    <xf numFmtId="0" fontId="4" fillId="0" borderId="51" xfId="2" applyFill="1" applyBorder="1"/>
    <xf numFmtId="0" fontId="6" fillId="0" borderId="7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2" xfId="0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2" fontId="5" fillId="0" borderId="45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2" xfId="0" applyBorder="1"/>
    <xf numFmtId="0" fontId="2" fillId="0" borderId="53" xfId="0" applyFont="1" applyBorder="1" applyAlignment="1">
      <alignment horizontal="center"/>
    </xf>
    <xf numFmtId="0" fontId="2" fillId="6" borderId="10" xfId="4" applyFont="1" applyBorder="1" applyAlignment="1">
      <alignment horizontal="right" wrapText="1"/>
    </xf>
    <xf numFmtId="0" fontId="2" fillId="6" borderId="1" xfId="4" applyFont="1" applyBorder="1" applyAlignment="1">
      <alignment horizontal="right"/>
    </xf>
    <xf numFmtId="0" fontId="6" fillId="6" borderId="5" xfId="4" applyFont="1" applyBorder="1" applyAlignment="1">
      <alignment horizontal="right"/>
    </xf>
    <xf numFmtId="0" fontId="6" fillId="6" borderId="1" xfId="4" applyFont="1" applyBorder="1" applyAlignment="1">
      <alignment horizontal="right" wrapText="1"/>
    </xf>
    <xf numFmtId="0" fontId="6" fillId="6" borderId="1" xfId="4" applyFont="1" applyBorder="1" applyAlignment="1">
      <alignment horizontal="left" indent="28"/>
    </xf>
    <xf numFmtId="0" fontId="0" fillId="0" borderId="55" xfId="0" applyBorder="1" applyAlignment="1">
      <alignment horizontal="right"/>
    </xf>
    <xf numFmtId="0" fontId="0" fillId="0" borderId="56" xfId="0" applyBorder="1" applyAlignment="1">
      <alignment horizontal="center"/>
    </xf>
    <xf numFmtId="0" fontId="0" fillId="0" borderId="54" xfId="0" applyBorder="1" applyAlignment="1">
      <alignment horizontal="center"/>
    </xf>
    <xf numFmtId="0" fontId="3" fillId="5" borderId="1" xfId="3" applyFont="1" applyBorder="1" applyAlignment="1">
      <alignment wrapText="1"/>
    </xf>
    <xf numFmtId="164" fontId="7" fillId="11" borderId="5" xfId="0" applyNumberFormat="1" applyFont="1" applyFill="1" applyBorder="1"/>
    <xf numFmtId="164" fontId="7" fillId="9" borderId="5" xfId="0" applyNumberFormat="1" applyFont="1" applyFill="1" applyBorder="1"/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5" xfId="0" applyBorder="1"/>
    <xf numFmtId="0" fontId="0" fillId="0" borderId="0" xfId="0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center" wrapText="1"/>
    </xf>
    <xf numFmtId="0" fontId="0" fillId="6" borderId="10" xfId="4" applyFont="1" applyBorder="1" applyAlignment="1">
      <alignment horizontal="left"/>
    </xf>
    <xf numFmtId="0" fontId="1" fillId="6" borderId="11" xfId="4" applyBorder="1" applyAlignment="1">
      <alignment horizontal="left"/>
    </xf>
    <xf numFmtId="0" fontId="0" fillId="6" borderId="7" xfId="4" applyFont="1" applyBorder="1" applyAlignment="1">
      <alignment horizontal="left"/>
    </xf>
    <xf numFmtId="0" fontId="1" fillId="6" borderId="9" xfId="4" applyBorder="1" applyAlignment="1">
      <alignment horizontal="left"/>
    </xf>
    <xf numFmtId="0" fontId="5" fillId="2" borderId="2" xfId="1" applyFont="1" applyBorder="1" applyAlignment="1">
      <alignment horizontal="center" vertical="center"/>
    </xf>
    <xf numFmtId="0" fontId="5" fillId="2" borderId="7" xfId="1" applyFont="1" applyBorder="1" applyAlignment="1">
      <alignment horizontal="center" vertical="center"/>
    </xf>
    <xf numFmtId="0" fontId="3" fillId="0" borderId="29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4" fillId="4" borderId="0" xfId="2" applyFont="1" applyBorder="1" applyAlignment="1">
      <alignment horizontal="left"/>
    </xf>
    <xf numFmtId="0" fontId="2" fillId="6" borderId="10" xfId="4" applyFont="1" applyBorder="1" applyAlignment="1">
      <alignment horizontal="left" wrapText="1"/>
    </xf>
    <xf numFmtId="0" fontId="2" fillId="6" borderId="11" xfId="4" applyFont="1" applyBorder="1" applyAlignment="1">
      <alignment horizontal="left" wrapText="1"/>
    </xf>
    <xf numFmtId="0" fontId="0" fillId="6" borderId="10" xfId="4" applyFont="1" applyBorder="1" applyAlignment="1">
      <alignment horizontal="left" wrapText="1"/>
    </xf>
    <xf numFmtId="0" fontId="0" fillId="6" borderId="11" xfId="4" applyFont="1" applyBorder="1" applyAlignment="1">
      <alignment horizontal="left" wrapText="1"/>
    </xf>
    <xf numFmtId="164" fontId="16" fillId="0" borderId="0" xfId="0" applyNumberFormat="1" applyFont="1"/>
    <xf numFmtId="164" fontId="15" fillId="0" borderId="0" xfId="0" applyNumberFormat="1" applyFont="1" applyAlignment="1">
      <alignment wrapText="1"/>
    </xf>
  </cellXfs>
  <cellStyles count="6">
    <cellStyle name="20% - Accent1" xfId="4" builtinId="30"/>
    <cellStyle name="20% - Accent5" xfId="1" builtinId="46"/>
    <cellStyle name="Accent1" xfId="5" builtinId="29"/>
    <cellStyle name="Good" xfId="2" builtinId="26"/>
    <cellStyle name="Normal" xfId="0" builtinId="0"/>
    <cellStyle name="Note" xfId="3" builtinId="10"/>
  </cellStyles>
  <dxfs count="18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alignment horizontal="left" vertical="bottom" textRotation="0" wrapText="1" indent="0" justifyLastLine="0" shrinkToFit="0" readingOrder="0"/>
    </dxf>
    <dxf>
      <border outline="0">
        <right style="medium">
          <color indexed="64"/>
        </right>
        <top style="medium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alignment horizontal="right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outline="0">
        <top style="medium">
          <color auto="1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228599</xdr:colOff>
      <xdr:row>0</xdr:row>
      <xdr:rowOff>133350</xdr:rowOff>
    </xdr:from>
    <xdr:to>
      <xdr:col>0</xdr:col>
      <xdr:colOff>1173938</xdr:colOff>
      <xdr:row>4</xdr:row>
      <xdr:rowOff>47625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759A85-25B9-46BE-A3CC-A49C55306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599" y="133350"/>
          <a:ext cx="945339" cy="9239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61:C67" totalsRowShown="0" tableBorderDxfId="17" headerRowCellStyle="Accent1">
  <autoFilter ref="A61:C67" xr:uid="{00000000-0009-0000-0100-000001000000}"/>
  <tableColumns count="3">
    <tableColumn id="1" xr3:uid="{00000000-0010-0000-0000-000001000000}" name="NO. OF FIXTURE UNITS" dataDxfId="16"/>
    <tableColumn id="2" xr3:uid="{00000000-0010-0000-0000-000002000000}" name="Water Meter size based on Water Supply Fixture Unit count from Water Meter Sizing chart above" dataDxfId="15"/>
    <tableColumn id="6" xr3:uid="{00000000-0010-0000-0000-000006000000}" name="WATER SUPPLY LINE REQUIRED" data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2:E39" totalsRowCount="1" headerRowBorderDxfId="13" tableBorderDxfId="12">
  <autoFilter ref="A12:E38" xr:uid="{00000000-0009-0000-0100-000002000000}"/>
  <tableColumns count="5">
    <tableColumn id="1" xr3:uid="{00000000-0010-0000-0100-000001000000}" name="Column1" totalsRowLabel="Total Fixture Units for Sewer" dataDxfId="11" totalsRowDxfId="10"/>
    <tableColumn id="3" xr3:uid="{00000000-0010-0000-0100-000003000000}" name="Column3" totalsRowFunction="custom" totalsRowDxfId="9">
      <totalsRowFormula>SUM(B13:B31)</totalsRowFormula>
    </tableColumn>
    <tableColumn id="4" xr3:uid="{00000000-0010-0000-0100-000004000000}" name="Column4" totalsRowFunction="custom" dataDxfId="8" totalsRowDxfId="7">
      <totalsRowFormula>SUM(C13:C31)</totalsRowFormula>
    </tableColumn>
    <tableColumn id="5" xr3:uid="{00000000-0010-0000-0100-000005000000}" name="Column5" dataDxfId="6" totalsRowDxfId="5"/>
    <tableColumn id="6" xr3:uid="{00000000-0010-0000-0100-000006000000}" name="Column6" totalsRowFunction="custom" dataDxfId="4" totalsRowDxfId="3">
      <totalsRowFormula>SUM(E13:E31)-E26</totalsRowFormula>
    </tableColumn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6FC0984-85E5-49E3-BE5C-8390EC4067D9}" name="Table3" displayName="Table3" ref="A43:E58" totalsRowCount="1" tableBorderDxfId="2">
  <autoFilter ref="A43:E57" xr:uid="{77D777BC-B0E1-4909-8AA4-24926FBD4AC5}"/>
  <tableColumns count="5">
    <tableColumn id="1" xr3:uid="{CE6A6B66-B438-45F2-839F-3CD94939BE9F}" name="Column1" totalsRowFunction="custom" totalsRowDxfId="1">
      <totalsRowFormula>_xlfn.IFS(B47=D61,1,B47=E61,2,B47=F61,3)</totalsRowFormula>
    </tableColumn>
    <tableColumn id="2" xr3:uid="{A40FB97D-7CD4-474A-9287-1039168EF693}" name="Column2" totalsRowDxfId="0"/>
    <tableColumn id="3" xr3:uid="{F770D89F-A1EE-4DD5-BE58-03B02AE4FC21}" name="Column3"/>
    <tableColumn id="4" xr3:uid="{D9124050-4A9D-4C49-8B75-10BBEDA45717}" name="Owing after March 1, 2019"/>
    <tableColumn id="5" xr3:uid="{6189E757-0B16-494C-AF87-4D12DDD9A21C}" name="Owing after March 1, 202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83"/>
  <sheetViews>
    <sheetView tabSelected="1" workbookViewId="0">
      <selection activeCell="B6" sqref="B6:C6"/>
    </sheetView>
  </sheetViews>
  <sheetFormatPr defaultRowHeight="15" x14ac:dyDescent="0.25"/>
  <cols>
    <col min="1" max="1" width="51.140625" bestFit="1" customWidth="1"/>
    <col min="2" max="2" width="37.28515625" bestFit="1" customWidth="1"/>
    <col min="3" max="3" width="27" bestFit="1" customWidth="1"/>
    <col min="4" max="4" width="28.42578125" customWidth="1"/>
    <col min="5" max="5" width="24.5703125" customWidth="1"/>
    <col min="6" max="6" width="18.140625" bestFit="1" customWidth="1"/>
    <col min="7" max="7" width="18.5703125" bestFit="1" customWidth="1"/>
  </cols>
  <sheetData>
    <row r="1" spans="1:6" ht="23.25" x14ac:dyDescent="0.35">
      <c r="A1" s="120" t="s">
        <v>0</v>
      </c>
      <c r="B1" s="121"/>
      <c r="C1" s="121"/>
      <c r="D1" s="121"/>
      <c r="E1" s="121"/>
      <c r="F1" s="122"/>
    </row>
    <row r="2" spans="1:6" ht="18.75" x14ac:dyDescent="0.3">
      <c r="A2" s="123" t="s">
        <v>1</v>
      </c>
      <c r="B2" s="124"/>
      <c r="C2" s="124"/>
      <c r="D2" s="124"/>
      <c r="E2" s="124"/>
      <c r="F2" s="125"/>
    </row>
    <row r="3" spans="1:6" ht="18.75" x14ac:dyDescent="0.3">
      <c r="A3" s="123" t="s">
        <v>79</v>
      </c>
      <c r="B3" s="124"/>
      <c r="C3" s="124"/>
      <c r="D3" s="124"/>
      <c r="E3" s="124"/>
      <c r="F3" s="125"/>
    </row>
    <row r="4" spans="1:6" ht="18.75" x14ac:dyDescent="0.3">
      <c r="A4" s="126" t="s">
        <v>75</v>
      </c>
      <c r="B4" s="127"/>
      <c r="C4" s="127"/>
      <c r="D4" s="127"/>
      <c r="E4" s="127"/>
      <c r="F4" s="128"/>
    </row>
    <row r="5" spans="1:6" ht="15.75" thickBot="1" x14ac:dyDescent="0.3">
      <c r="A5" s="131"/>
      <c r="B5" s="132"/>
      <c r="C5" s="132"/>
      <c r="D5" s="132"/>
      <c r="E5" s="132"/>
      <c r="F5" s="133"/>
    </row>
    <row r="6" spans="1:6" ht="16.5" thickBot="1" x14ac:dyDescent="0.3">
      <c r="A6" s="113" t="s">
        <v>19</v>
      </c>
      <c r="B6" s="137"/>
      <c r="C6" s="138"/>
      <c r="D6" s="110" t="s">
        <v>77</v>
      </c>
      <c r="E6" s="137" t="s">
        <v>70</v>
      </c>
      <c r="F6" s="138"/>
    </row>
    <row r="7" spans="1:6" ht="16.5" thickBot="1" x14ac:dyDescent="0.3">
      <c r="A7" s="111" t="s">
        <v>83</v>
      </c>
      <c r="B7" s="139"/>
      <c r="C7" s="140"/>
      <c r="D7" s="33"/>
      <c r="E7" s="17"/>
      <c r="F7" s="18"/>
    </row>
    <row r="8" spans="1:6" ht="16.5" thickBot="1" x14ac:dyDescent="0.3">
      <c r="A8" s="112" t="s">
        <v>20</v>
      </c>
      <c r="B8" s="148"/>
      <c r="C8" s="149"/>
      <c r="D8" s="109" t="s">
        <v>76</v>
      </c>
      <c r="E8" s="146"/>
      <c r="F8" s="147"/>
    </row>
    <row r="9" spans="1:6" ht="15.75" thickBot="1" x14ac:dyDescent="0.3">
      <c r="A9" s="134"/>
      <c r="B9" s="135"/>
      <c r="C9" s="135"/>
      <c r="D9" s="135"/>
      <c r="E9" s="135"/>
      <c r="F9" s="135"/>
    </row>
    <row r="10" spans="1:6" ht="15.75" customHeight="1" thickBot="1" x14ac:dyDescent="0.3">
      <c r="A10" s="141" t="s">
        <v>4</v>
      </c>
      <c r="B10" s="129" t="s">
        <v>2</v>
      </c>
      <c r="C10" s="130"/>
      <c r="D10" s="129" t="s">
        <v>3</v>
      </c>
      <c r="E10" s="130"/>
    </row>
    <row r="11" spans="1:6" s="3" customFormat="1" ht="30.75" thickBot="1" x14ac:dyDescent="0.3">
      <c r="A11" s="142"/>
      <c r="B11" s="83" t="s">
        <v>40</v>
      </c>
      <c r="C11" s="84" t="s">
        <v>41</v>
      </c>
      <c r="D11" s="28" t="s">
        <v>5</v>
      </c>
      <c r="E11" s="84" t="s">
        <v>33</v>
      </c>
    </row>
    <row r="12" spans="1:6" ht="15.75" hidden="1" thickBot="1" x14ac:dyDescent="0.3">
      <c r="A12" s="23" t="s">
        <v>43</v>
      </c>
      <c r="B12" s="2" t="s">
        <v>44</v>
      </c>
      <c r="C12" s="2" t="s">
        <v>45</v>
      </c>
      <c r="D12" s="1" t="s">
        <v>46</v>
      </c>
      <c r="E12" s="25" t="s">
        <v>47</v>
      </c>
    </row>
    <row r="13" spans="1:6" ht="15.75" thickBot="1" x14ac:dyDescent="0.3">
      <c r="A13" s="29" t="s">
        <v>53</v>
      </c>
      <c r="B13" s="77"/>
      <c r="C13" s="77"/>
      <c r="D13" s="1">
        <v>2.5</v>
      </c>
      <c r="E13" s="25">
        <f>(+B13+C13)* D13</f>
        <v>0</v>
      </c>
    </row>
    <row r="14" spans="1:6" ht="15.75" thickBot="1" x14ac:dyDescent="0.3">
      <c r="A14" s="24" t="s">
        <v>54</v>
      </c>
      <c r="B14" s="77"/>
      <c r="C14" s="77"/>
      <c r="D14" s="1">
        <v>2.5</v>
      </c>
      <c r="E14" s="25">
        <f t="shared" ref="E14:E33" si="0">(+B14+C14)* D14</f>
        <v>0</v>
      </c>
    </row>
    <row r="15" spans="1:6" ht="15.75" thickBot="1" x14ac:dyDescent="0.3">
      <c r="A15" s="24" t="s">
        <v>55</v>
      </c>
      <c r="B15" s="77"/>
      <c r="C15" s="77"/>
      <c r="D15" s="1">
        <v>5</v>
      </c>
      <c r="E15" s="25">
        <f t="shared" si="0"/>
        <v>0</v>
      </c>
    </row>
    <row r="16" spans="1:6" ht="15.75" thickBot="1" x14ac:dyDescent="0.3">
      <c r="A16" s="24" t="s">
        <v>56</v>
      </c>
      <c r="B16" s="77"/>
      <c r="C16" s="77"/>
      <c r="D16" s="1">
        <v>5.5</v>
      </c>
      <c r="E16" s="25">
        <f t="shared" si="0"/>
        <v>0</v>
      </c>
    </row>
    <row r="17" spans="1:5" ht="15.75" thickBot="1" x14ac:dyDescent="0.3">
      <c r="A17" s="24" t="s">
        <v>57</v>
      </c>
      <c r="B17" s="77"/>
      <c r="C17" s="77"/>
      <c r="D17" s="1">
        <v>8</v>
      </c>
      <c r="E17" s="25">
        <f t="shared" si="0"/>
        <v>0</v>
      </c>
    </row>
    <row r="18" spans="1:5" ht="15.75" thickBot="1" x14ac:dyDescent="0.3">
      <c r="A18" s="24" t="s">
        <v>6</v>
      </c>
      <c r="B18" s="77"/>
      <c r="C18" s="77"/>
      <c r="D18" s="1">
        <v>4</v>
      </c>
      <c r="E18" s="25">
        <f t="shared" si="0"/>
        <v>0</v>
      </c>
    </row>
    <row r="19" spans="1:5" ht="15.75" thickBot="1" x14ac:dyDescent="0.3">
      <c r="A19" s="24" t="s">
        <v>7</v>
      </c>
      <c r="B19" s="77"/>
      <c r="C19" s="77"/>
      <c r="D19" s="1">
        <v>5</v>
      </c>
      <c r="E19" s="25">
        <f t="shared" si="0"/>
        <v>0</v>
      </c>
    </row>
    <row r="20" spans="1:5" ht="15.75" thickBot="1" x14ac:dyDescent="0.3">
      <c r="A20" s="24" t="s">
        <v>8</v>
      </c>
      <c r="B20" s="77"/>
      <c r="C20" s="77"/>
      <c r="D20" s="1">
        <v>2</v>
      </c>
      <c r="E20" s="25">
        <f t="shared" si="0"/>
        <v>0</v>
      </c>
    </row>
    <row r="21" spans="1:5" ht="15.75" thickBot="1" x14ac:dyDescent="0.3">
      <c r="A21" s="24" t="s">
        <v>52</v>
      </c>
      <c r="B21" s="77"/>
      <c r="C21" s="77"/>
      <c r="D21" s="1">
        <f>1*0.75</f>
        <v>0.75</v>
      </c>
      <c r="E21" s="25">
        <f t="shared" si="0"/>
        <v>0</v>
      </c>
    </row>
    <row r="22" spans="1:5" ht="15.75" thickBot="1" x14ac:dyDescent="0.3">
      <c r="A22" s="24" t="s">
        <v>9</v>
      </c>
      <c r="B22" s="77"/>
      <c r="C22" s="77"/>
      <c r="D22" s="1">
        <f>2*0.75</f>
        <v>1.5</v>
      </c>
      <c r="E22" s="25">
        <f t="shared" si="0"/>
        <v>0</v>
      </c>
    </row>
    <row r="23" spans="1:5" ht="15.75" thickBot="1" x14ac:dyDescent="0.3">
      <c r="A23" s="24" t="s">
        <v>10</v>
      </c>
      <c r="B23" s="77"/>
      <c r="C23" s="77"/>
      <c r="D23" s="1">
        <f>3*0.75</f>
        <v>2.25</v>
      </c>
      <c r="E23" s="25">
        <f t="shared" si="0"/>
        <v>0</v>
      </c>
    </row>
    <row r="24" spans="1:5" ht="15.75" thickBot="1" x14ac:dyDescent="0.3">
      <c r="A24" s="24" t="s">
        <v>11</v>
      </c>
      <c r="B24" s="77"/>
      <c r="C24" s="77"/>
      <c r="D24" s="1">
        <f>3*0.75</f>
        <v>2.25</v>
      </c>
      <c r="E24" s="25">
        <f t="shared" si="0"/>
        <v>0</v>
      </c>
    </row>
    <row r="25" spans="1:5" ht="15.75" thickBot="1" x14ac:dyDescent="0.3">
      <c r="A25" s="24" t="s">
        <v>12</v>
      </c>
      <c r="B25" s="77"/>
      <c r="C25" s="77"/>
      <c r="D25" s="1">
        <f>1.5*0.75</f>
        <v>1.125</v>
      </c>
      <c r="E25" s="25">
        <f t="shared" si="0"/>
        <v>0</v>
      </c>
    </row>
    <row r="26" spans="1:5" ht="15.75" thickBot="1" x14ac:dyDescent="0.3">
      <c r="A26" s="24" t="s">
        <v>58</v>
      </c>
      <c r="B26" s="77"/>
      <c r="C26" s="77"/>
      <c r="D26" s="1">
        <v>0.5</v>
      </c>
      <c r="E26" s="25">
        <f t="shared" si="0"/>
        <v>0</v>
      </c>
    </row>
    <row r="27" spans="1:5" ht="15.75" thickBot="1" x14ac:dyDescent="0.3">
      <c r="A27" s="24" t="s">
        <v>13</v>
      </c>
      <c r="B27" s="77"/>
      <c r="C27" s="77"/>
      <c r="D27" s="1">
        <f>1.5*0.75</f>
        <v>1.125</v>
      </c>
      <c r="E27" s="25">
        <f t="shared" si="0"/>
        <v>0</v>
      </c>
    </row>
    <row r="28" spans="1:5" ht="15.75" thickBot="1" x14ac:dyDescent="0.3">
      <c r="A28" s="24" t="s">
        <v>14</v>
      </c>
      <c r="B28" s="77"/>
      <c r="C28" s="77"/>
      <c r="D28" s="1">
        <f>4*0.75</f>
        <v>3</v>
      </c>
      <c r="E28" s="25">
        <f t="shared" si="0"/>
        <v>0</v>
      </c>
    </row>
    <row r="29" spans="1:5" ht="15.75" thickBot="1" x14ac:dyDescent="0.3">
      <c r="A29" s="24" t="s">
        <v>48</v>
      </c>
      <c r="B29" s="77"/>
      <c r="C29" s="77"/>
      <c r="D29" s="1">
        <f>10*0.75</f>
        <v>7.5</v>
      </c>
      <c r="E29" s="25">
        <f t="shared" si="0"/>
        <v>0</v>
      </c>
    </row>
    <row r="30" spans="1:5" ht="15.75" thickBot="1" x14ac:dyDescent="0.3">
      <c r="A30" s="24" t="s">
        <v>87</v>
      </c>
      <c r="B30" s="77"/>
      <c r="C30" s="77"/>
      <c r="D30" s="1">
        <f>2*0.75</f>
        <v>1.5</v>
      </c>
      <c r="E30" s="25">
        <f t="shared" si="0"/>
        <v>0</v>
      </c>
    </row>
    <row r="31" spans="1:5" ht="15.75" thickBot="1" x14ac:dyDescent="0.3">
      <c r="A31" s="24" t="s">
        <v>88</v>
      </c>
      <c r="B31" s="77"/>
      <c r="C31" s="77"/>
      <c r="D31" s="1">
        <v>4</v>
      </c>
      <c r="E31" s="25">
        <f t="shared" si="0"/>
        <v>0</v>
      </c>
    </row>
    <row r="32" spans="1:5" ht="15.75" thickBot="1" x14ac:dyDescent="0.3">
      <c r="A32" s="24" t="s">
        <v>15</v>
      </c>
      <c r="B32" s="77"/>
      <c r="C32" s="77"/>
      <c r="D32" s="1">
        <v>2.5</v>
      </c>
      <c r="E32" s="25">
        <f t="shared" si="0"/>
        <v>0</v>
      </c>
    </row>
    <row r="33" spans="1:6" ht="15.75" thickBot="1" x14ac:dyDescent="0.3">
      <c r="A33" s="24" t="s">
        <v>16</v>
      </c>
      <c r="B33" s="77"/>
      <c r="C33" s="77"/>
      <c r="D33" s="1">
        <v>1</v>
      </c>
      <c r="E33" s="25">
        <f t="shared" si="0"/>
        <v>0</v>
      </c>
    </row>
    <row r="34" spans="1:6" ht="15.75" thickBot="1" x14ac:dyDescent="0.3">
      <c r="A34" s="24" t="s">
        <v>32</v>
      </c>
      <c r="B34" s="91"/>
      <c r="C34" s="91"/>
      <c r="D34" s="1"/>
      <c r="E34" s="26"/>
    </row>
    <row r="35" spans="1:6" ht="15.75" thickBot="1" x14ac:dyDescent="0.3">
      <c r="A35" s="89"/>
      <c r="B35" s="92"/>
      <c r="C35" s="93"/>
      <c r="D35" s="1"/>
      <c r="E35" s="26"/>
    </row>
    <row r="36" spans="1:6" ht="15.75" thickBot="1" x14ac:dyDescent="0.3">
      <c r="A36" s="90"/>
      <c r="B36" s="94"/>
      <c r="C36" s="93"/>
      <c r="D36" s="105"/>
      <c r="E36" s="27"/>
    </row>
    <row r="37" spans="1:6" ht="15.75" thickBot="1" x14ac:dyDescent="0.3">
      <c r="A37" s="19"/>
      <c r="B37" s="95"/>
      <c r="C37" s="99"/>
      <c r="D37" s="107"/>
      <c r="E37" s="102" t="s">
        <v>70</v>
      </c>
    </row>
    <row r="38" spans="1:6" ht="22.5" thickTop="1" thickBot="1" x14ac:dyDescent="0.4">
      <c r="A38" s="32" t="s">
        <v>34</v>
      </c>
      <c r="B38" s="88">
        <f>SUM(B13:B37)</f>
        <v>0</v>
      </c>
      <c r="C38" s="100">
        <f>SUM(C13:C37)</f>
        <v>0</v>
      </c>
      <c r="D38" s="108"/>
      <c r="E38" s="103">
        <f>SUBTOTAL(109,E13:E37)</f>
        <v>0</v>
      </c>
      <c r="F38" s="16"/>
    </row>
    <row r="39" spans="1:6" ht="21.75" thickBot="1" x14ac:dyDescent="0.35">
      <c r="A39" s="81" t="s">
        <v>66</v>
      </c>
      <c r="B39" s="87">
        <f>SUM(B13:B31)</f>
        <v>0</v>
      </c>
      <c r="C39" s="101">
        <f>SUM(C13:C31)</f>
        <v>0</v>
      </c>
      <c r="D39" s="106"/>
      <c r="E39" s="104">
        <f>SUM(E13:E31)-E26</f>
        <v>0</v>
      </c>
    </row>
    <row r="40" spans="1:6" ht="33" thickBot="1" x14ac:dyDescent="0.35">
      <c r="A40" s="31" t="s">
        <v>17</v>
      </c>
      <c r="B40" s="85"/>
      <c r="C40" s="86">
        <f>C34</f>
        <v>0</v>
      </c>
      <c r="D40" s="145" t="s">
        <v>39</v>
      </c>
      <c r="E40" s="145"/>
    </row>
    <row r="41" spans="1:6" s="3" customFormat="1" ht="19.5" thickBot="1" x14ac:dyDescent="0.35">
      <c r="A41" s="11" t="s">
        <v>80</v>
      </c>
      <c r="B41" s="52"/>
      <c r="C41" s="117" t="e">
        <f>VLOOKUP(E38,A63:C67, 2,TRUE)</f>
        <v>#N/A</v>
      </c>
      <c r="D41" s="30"/>
    </row>
    <row r="42" spans="1:6" s="3" customFormat="1" ht="19.5" thickBot="1" x14ac:dyDescent="0.35">
      <c r="A42" s="66" t="s">
        <v>18</v>
      </c>
      <c r="B42" s="67"/>
      <c r="C42" s="68" t="e">
        <f>VLOOKUP(E38,A63:C65, 3,TRUE)</f>
        <v>#N/A</v>
      </c>
      <c r="D42" s="30"/>
    </row>
    <row r="43" spans="1:6" s="22" customFormat="1" ht="15.75" hidden="1" x14ac:dyDescent="0.25">
      <c r="A43" s="20" t="s">
        <v>43</v>
      </c>
      <c r="B43" s="20" t="s">
        <v>62</v>
      </c>
      <c r="C43" s="21" t="s">
        <v>44</v>
      </c>
      <c r="D43" s="62" t="s">
        <v>42</v>
      </c>
      <c r="E43" s="21" t="s">
        <v>73</v>
      </c>
      <c r="F43" s="21"/>
    </row>
    <row r="44" spans="1:6" ht="15.75" x14ac:dyDescent="0.25">
      <c r="A44" s="4" t="s">
        <v>49</v>
      </c>
      <c r="B44" s="76" t="s">
        <v>60</v>
      </c>
      <c r="C44" s="53">
        <f>ROUNDUP(E38/30,1)</f>
        <v>0</v>
      </c>
      <c r="D44" s="63">
        <f>SUM(Table3[[#This Row],[Column3]]*11926)</f>
        <v>0</v>
      </c>
      <c r="E44" s="7"/>
      <c r="F44" s="54"/>
    </row>
    <row r="45" spans="1:6" ht="15.75" x14ac:dyDescent="0.25">
      <c r="A45" s="4" t="s">
        <v>71</v>
      </c>
      <c r="B45" s="96" t="s">
        <v>82</v>
      </c>
      <c r="C45" s="53"/>
      <c r="D45" s="118">
        <v>11926</v>
      </c>
      <c r="E45" s="150" t="s">
        <v>89</v>
      </c>
      <c r="F45" s="54"/>
    </row>
    <row r="46" spans="1:6" ht="15.75" x14ac:dyDescent="0.25">
      <c r="A46" s="4" t="s">
        <v>72</v>
      </c>
      <c r="B46" s="96"/>
      <c r="C46" s="53"/>
      <c r="D46" s="97">
        <f>+D44-D45</f>
        <v>-11926</v>
      </c>
      <c r="F46" s="54"/>
    </row>
    <row r="47" spans="1:6" s="3" customFormat="1" ht="45" x14ac:dyDescent="0.25">
      <c r="A47" s="20" t="s">
        <v>65</v>
      </c>
      <c r="B47" s="78" t="s">
        <v>67</v>
      </c>
      <c r="C47" s="61"/>
      <c r="D47" s="64" t="e">
        <f>VLOOKUP(C41,B62:F66,A58+2,FALSE)</f>
        <v>#N/A</v>
      </c>
      <c r="E47" s="151" t="s">
        <v>86</v>
      </c>
      <c r="F47" s="55"/>
    </row>
    <row r="48" spans="1:6" s="3" customFormat="1" ht="15.75" customHeight="1" x14ac:dyDescent="0.25">
      <c r="A48" s="20"/>
      <c r="B48" s="71" t="s">
        <v>63</v>
      </c>
      <c r="C48" s="61"/>
      <c r="D48" s="64"/>
      <c r="F48" s="55"/>
    </row>
    <row r="49" spans="1:6" ht="15.75" x14ac:dyDescent="0.25">
      <c r="A49" s="4" t="s">
        <v>23</v>
      </c>
      <c r="B49" s="72" t="s">
        <v>59</v>
      </c>
      <c r="C49" s="80">
        <f>IF(ROUNDUP(E39/24,1)&lt;1,1,ROUNDUP(E39/24,1))</f>
        <v>1</v>
      </c>
      <c r="D49" s="63">
        <f>Table3[[#This Row],[Column3]]*5531</f>
        <v>5531</v>
      </c>
      <c r="E49" s="22"/>
      <c r="F49" s="54"/>
    </row>
    <row r="50" spans="1:6" ht="15.75" x14ac:dyDescent="0.25">
      <c r="A50" s="4" t="s">
        <v>74</v>
      </c>
      <c r="B50" s="76" t="s">
        <v>81</v>
      </c>
      <c r="C50" s="53"/>
      <c r="D50" s="118">
        <v>5531</v>
      </c>
      <c r="E50" s="150" t="s">
        <v>89</v>
      </c>
      <c r="F50" s="54"/>
    </row>
    <row r="51" spans="1:6" ht="15.75" x14ac:dyDescent="0.25">
      <c r="A51" s="4" t="s">
        <v>78</v>
      </c>
      <c r="B51" s="96"/>
      <c r="C51" s="53"/>
      <c r="D51" s="97">
        <f>+D49-D50</f>
        <v>0</v>
      </c>
      <c r="E51" s="7"/>
      <c r="F51" s="54"/>
    </row>
    <row r="52" spans="1:6" ht="15.75" x14ac:dyDescent="0.25">
      <c r="A52" s="4"/>
      <c r="B52" s="96"/>
      <c r="C52" s="53"/>
      <c r="D52" s="119"/>
      <c r="E52" s="7"/>
      <c r="F52" s="54"/>
    </row>
    <row r="53" spans="1:6" ht="15.75" x14ac:dyDescent="0.25">
      <c r="A53" s="4" t="s">
        <v>61</v>
      </c>
      <c r="B53" s="79"/>
      <c r="C53" s="7"/>
      <c r="D53" s="97">
        <f>+IF(B53="Yes",1970,0)*(C49-C50)</f>
        <v>0</v>
      </c>
      <c r="E53" s="7"/>
      <c r="F53" s="54"/>
    </row>
    <row r="54" spans="1:6" s="3" customFormat="1" ht="26.25" customHeight="1" x14ac:dyDescent="0.25">
      <c r="A54" s="10" t="s">
        <v>24</v>
      </c>
      <c r="B54" s="73"/>
      <c r="C54" s="9"/>
      <c r="D54" s="64"/>
      <c r="F54" s="55"/>
    </row>
    <row r="55" spans="1:6" ht="15.75" x14ac:dyDescent="0.25">
      <c r="A55" s="4" t="s">
        <v>21</v>
      </c>
      <c r="B55" s="77"/>
      <c r="C55" s="7"/>
      <c r="D55" s="97">
        <f>IF(B55="Yes",1750,0)*C44-C45</f>
        <v>0</v>
      </c>
      <c r="E55" s="3"/>
      <c r="F55" s="54"/>
    </row>
    <row r="56" spans="1:6" ht="30.75" customHeight="1" x14ac:dyDescent="0.25">
      <c r="A56" s="69" t="s">
        <v>25</v>
      </c>
      <c r="B56" s="74"/>
      <c r="C56" s="5"/>
      <c r="D56" s="65"/>
      <c r="F56" s="54"/>
    </row>
    <row r="57" spans="1:6" ht="19.5" thickBot="1" x14ac:dyDescent="0.35">
      <c r="A57" s="82" t="s">
        <v>75</v>
      </c>
      <c r="B57" s="75"/>
      <c r="C57" s="4"/>
      <c r="D57" s="98">
        <f>SUMIF(D46:D47,"&gt;0")+SUMIF(D51:D55,"0&gt;")</f>
        <v>0</v>
      </c>
      <c r="F57" s="56"/>
    </row>
    <row r="58" spans="1:6" ht="16.5" hidden="1" thickTop="1" x14ac:dyDescent="0.25">
      <c r="A58" s="70">
        <f>_xlfn.IFS(B47=D61,1,B47=E61,2,B47=F61,3)</f>
        <v>1</v>
      </c>
      <c r="B58" s="4"/>
    </row>
    <row r="59" spans="1:6" ht="16.5" thickTop="1" x14ac:dyDescent="0.25">
      <c r="A59" s="6"/>
      <c r="B59" s="4"/>
    </row>
    <row r="60" spans="1:6" ht="19.5" thickBot="1" x14ac:dyDescent="0.35">
      <c r="A60" s="136" t="s">
        <v>51</v>
      </c>
      <c r="B60" s="136"/>
      <c r="C60" s="136"/>
      <c r="D60" s="143" t="s">
        <v>50</v>
      </c>
      <c r="E60" s="144"/>
      <c r="F60" s="144"/>
    </row>
    <row r="61" spans="1:6" ht="45" x14ac:dyDescent="0.25">
      <c r="A61" s="60" t="s">
        <v>27</v>
      </c>
      <c r="B61" s="57" t="s">
        <v>26</v>
      </c>
      <c r="C61" s="43" t="s">
        <v>35</v>
      </c>
      <c r="D61" s="48" t="s">
        <v>67</v>
      </c>
      <c r="E61" s="41" t="s">
        <v>63</v>
      </c>
      <c r="F61" s="42" t="s">
        <v>64</v>
      </c>
    </row>
    <row r="62" spans="1:6" hidden="1" x14ac:dyDescent="0.25">
      <c r="A62" s="58">
        <v>7</v>
      </c>
      <c r="B62" s="34" t="s">
        <v>22</v>
      </c>
      <c r="C62" s="44" t="s">
        <v>36</v>
      </c>
      <c r="D62" s="49"/>
      <c r="E62" s="35"/>
      <c r="F62" s="36"/>
    </row>
    <row r="63" spans="1:6" x14ac:dyDescent="0.25">
      <c r="A63" s="59">
        <v>7</v>
      </c>
      <c r="B63" s="14" t="s">
        <v>31</v>
      </c>
      <c r="C63" s="44" t="s">
        <v>36</v>
      </c>
      <c r="D63" s="50">
        <v>347</v>
      </c>
      <c r="E63" s="37">
        <v>3311</v>
      </c>
      <c r="F63" s="38">
        <v>4931</v>
      </c>
    </row>
    <row r="64" spans="1:6" x14ac:dyDescent="0.25">
      <c r="A64" s="59">
        <v>39</v>
      </c>
      <c r="B64" s="15" t="s">
        <v>30</v>
      </c>
      <c r="C64" s="45" t="s">
        <v>37</v>
      </c>
      <c r="D64" s="51">
        <v>422</v>
      </c>
      <c r="E64" s="39">
        <v>3406</v>
      </c>
      <c r="F64" s="40">
        <v>5426</v>
      </c>
    </row>
    <row r="65" spans="1:6" x14ac:dyDescent="0.25">
      <c r="A65" s="59">
        <v>78</v>
      </c>
      <c r="B65" s="14" t="s">
        <v>29</v>
      </c>
      <c r="C65" s="46" t="s">
        <v>38</v>
      </c>
      <c r="D65" s="50">
        <v>1578</v>
      </c>
      <c r="E65" s="37">
        <v>6343</v>
      </c>
      <c r="F65" s="38">
        <v>7963</v>
      </c>
    </row>
    <row r="66" spans="1:6" x14ac:dyDescent="0.25">
      <c r="A66" s="58">
        <v>94</v>
      </c>
      <c r="B66" s="15" t="s">
        <v>28</v>
      </c>
      <c r="C66" s="47"/>
      <c r="D66" s="51">
        <v>1804</v>
      </c>
      <c r="E66" s="39">
        <v>6508</v>
      </c>
      <c r="F66" s="40">
        <v>8128</v>
      </c>
    </row>
    <row r="67" spans="1:6" x14ac:dyDescent="0.25">
      <c r="A67" s="114">
        <v>150</v>
      </c>
      <c r="B67" s="115" t="s">
        <v>84</v>
      </c>
      <c r="C67" s="116"/>
      <c r="D67" t="s">
        <v>85</v>
      </c>
    </row>
    <row r="68" spans="1:6" hidden="1" x14ac:dyDescent="0.25">
      <c r="A68" t="s">
        <v>68</v>
      </c>
    </row>
    <row r="69" spans="1:6" hidden="1" x14ac:dyDescent="0.25">
      <c r="A69" t="s">
        <v>69</v>
      </c>
    </row>
    <row r="78" spans="1:6" x14ac:dyDescent="0.25">
      <c r="A78" s="12"/>
      <c r="B78" s="12"/>
    </row>
    <row r="79" spans="1:6" x14ac:dyDescent="0.25">
      <c r="A79" s="13"/>
      <c r="B79" s="13"/>
    </row>
    <row r="83" spans="1:1" x14ac:dyDescent="0.25">
      <c r="A83" s="8"/>
    </row>
  </sheetData>
  <protectedRanges>
    <protectedRange algorithmName="SHA-512" hashValue="iMW3RTeAkjXqzoxS3+4remo4WKAf3/3i3ugIUfK4v6M3PsURxaFuF3TWdtADqQHuQ4aKZWQK2ryJBaTiTHfoIg==" saltValue="cMGqcXvlopTQ6cUlP50Sxg==" spinCount="100000" sqref="C13:C34 E6 E8 B6:B8 B47:B48 B53 B55" name="Fixtures" securityDescriptor="O:WDG:WDD:(A;;CC;;;WD)"/>
    <protectedRange algorithmName="SHA-512" hashValue="iMW3RTeAkjXqzoxS3+4remo4WKAf3/3i3ugIUfK4v6M3PsURxaFuF3TWdtADqQHuQ4aKZWQK2ryJBaTiTHfoIg==" saltValue="cMGqcXvlopTQ6cUlP50Sxg==" spinCount="100000" sqref="B13:B34" name="Fixtures_1" securityDescriptor="O:WDG:WDD:(A;;CC;;;WD)"/>
  </protectedRanges>
  <dataConsolidate/>
  <mergeCells count="17">
    <mergeCell ref="A60:C60"/>
    <mergeCell ref="B6:C6"/>
    <mergeCell ref="B7:C7"/>
    <mergeCell ref="A10:A11"/>
    <mergeCell ref="D60:F60"/>
    <mergeCell ref="D40:E40"/>
    <mergeCell ref="E8:F8"/>
    <mergeCell ref="E6:F6"/>
    <mergeCell ref="B8:C8"/>
    <mergeCell ref="A1:F1"/>
    <mergeCell ref="A2:F2"/>
    <mergeCell ref="A4:F4"/>
    <mergeCell ref="B10:C10"/>
    <mergeCell ref="D10:E10"/>
    <mergeCell ref="A3:F3"/>
    <mergeCell ref="A5:F5"/>
    <mergeCell ref="A9:F9"/>
  </mergeCells>
  <dataValidations count="5">
    <dataValidation type="list" allowBlank="1" showInputMessage="1" showErrorMessage="1" error="Plese select from list below" promptTitle="Meter installation" prompt="Please choose meter install type from Meter Installation Chart below" sqref="B48" xr:uid="{BA5CB319-1899-4749-80D4-913EFF9D2C3E}">
      <formula1>$D$61:$F$61</formula1>
    </dataValidation>
    <dataValidation type="list" allowBlank="1" showInputMessage="1" showErrorMessage="1" errorTitle="Lord Acres Facility Charge" error="Please answer Yes or No" promptTitle="Lord Acres Facility Charge" prompt="Do you live within the Lord Acres Area" sqref="B53" xr:uid="{97BA4DF0-A66F-42A8-8C3D-11DE6530485E}">
      <formula1>$A$68:$A$69</formula1>
    </dataValidation>
    <dataValidation type="list" allowBlank="1" showInputMessage="1" showErrorMessage="1" errorTitle="Reservoir Impact Fee" error="Please answer Yes or No" promptTitle="Reservoir Impact Fee" prompt="Are you within the Chelan River / Isenhart Domestic Water System area" sqref="B55" xr:uid="{0E9D6810-7FDA-4A60-88C9-3979408B25D8}">
      <formula1>$A$68:$A$69</formula1>
    </dataValidation>
    <dataValidation type="list" allowBlank="1" showInputMessage="1" showErrorMessage="1" errorTitle="Water Install Fee" error="Plese select from list below" promptTitle="Meter installation" prompt="Please choose meter install type from Meter Installation Chart below" sqref="B47" xr:uid="{B750AFCE-61CC-4BA3-9753-EAB0AEFBCE07}">
      <formula1>$D$61:$F$61</formula1>
    </dataValidation>
    <dataValidation type="decimal" allowBlank="1" showInputMessage="1" showErrorMessage="1" error="Input Number of fixtures" sqref="B13:C33" xr:uid="{E6A52D1F-8E91-42CE-ACBA-BB529AFF6E11}">
      <formula1>0</formula1>
      <formula2>99</formula2>
    </dataValidation>
  </dataValidations>
  <printOptions gridLines="1"/>
  <pageMargins left="0.25" right="0.25" top="0.75" bottom="0.75" header="0.3" footer="0.3"/>
  <pageSetup scale="54" orientation="portrait" r:id="rId1"/>
  <drawing r:id="rId2"/>
  <legacyDrawing r:id="rId3"/>
  <tableParts count="3"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WaterMeterForm</vt:lpstr>
      <vt:lpstr>WaterMeterForm!Print_Area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Gonzalez</dc:creator>
  <cp:lastModifiedBy>Linda Jo Williams</cp:lastModifiedBy>
  <cp:lastPrinted>2020-11-24T00:13:40Z</cp:lastPrinted>
  <dcterms:created xsi:type="dcterms:W3CDTF">2018-10-11T18:18:20Z</dcterms:created>
  <dcterms:modified xsi:type="dcterms:W3CDTF">2023-05-03T21:08:26Z</dcterms:modified>
</cp:coreProperties>
</file>